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 Oliveira\Google Drive\Câmara Solicitadores\Tarifas 2013\"/>
    </mc:Choice>
  </mc:AlternateContent>
  <workbookProtection workbookAlgorithmName="SHA-512" workbookHashValue="cBfe3OT3XNMvoXm3mc6I8Nsjtiz/07XRAzlvtgCqJ/GJnZclPelao0Rqs1SJAnefdExwPBEOAAKmirXWSvZt2Q==" workbookSaltValue="YpNAZjmc3bhg1vS4yasNzg==" workbookSpinCount="100000" lockStructure="1"/>
  <bookViews>
    <workbookView xWindow="0" yWindow="0" windowWidth="15525" windowHeight="7245"/>
  </bookViews>
  <sheets>
    <sheet name="Simulador" sheetId="1" r:id="rId1"/>
    <sheet name="Citação previa" sheetId="4" r:id="rId2"/>
  </sheets>
  <externalReferences>
    <externalReference r:id="rId3"/>
  </externalReferences>
  <definedNames>
    <definedName name="_xlnm.Print_Area" localSheetId="1">'Citação previa'!$B$1:$U$11</definedName>
    <definedName name="_xlnm.Print_Area" localSheetId="0">Simulador!$B$1:$U$34</definedName>
    <definedName name="CEDULA">[1]CONFIGURAÇÕES!$B$23</definedName>
    <definedName name="CONTA">[1]CONFIGURAÇÕES!$A$3:$B$12</definedName>
    <definedName name="CP">[1]CONFIGURAÇÕES!$B$17</definedName>
    <definedName name="D_INIC">#REF!</definedName>
    <definedName name="DF">'[1]NOTA DE HONORARIOS'!$D$19</definedName>
    <definedName name="DFCIV" localSheetId="1">'[1]NOTA DE HONORARIOS'!#REF!</definedName>
    <definedName name="DFCIV">'[1]NOTA DE HONORARIOS'!#REF!</definedName>
    <definedName name="DI">'[1]NOTA DE HONORARIOS'!$C$19</definedName>
    <definedName name="DICIV" localSheetId="1">'[1]NOTA DE HONORARIOS'!#REF!</definedName>
    <definedName name="DICIV">'[1]NOTA DE HONORARIOS'!#REF!</definedName>
    <definedName name="DT_PROJ">#REF!</definedName>
    <definedName name="EMAIL">[1]CONFIGURAÇÕES!$B$20</definedName>
    <definedName name="FAX">[1]CONFIGURAÇÕES!$B$19</definedName>
    <definedName name="HORARIO">[1]CONFIGURAÇÕES!$B$21</definedName>
    <definedName name="MORADA">[1]CONFIGURAÇÕES!$B$16</definedName>
    <definedName name="NIF">[1]CONFIGURAÇÕES!$B$22</definedName>
    <definedName name="NOME">[1]CONFIGURAÇÕES!$B$15</definedName>
    <definedName name="TELEFONE">[1]CONFIGURAÇÕES!$B$18</definedName>
    <definedName name="UC">'[1]NOTA DE HONORARIOS'!$A$2</definedName>
    <definedName name="V_CAP">#REF!</definedName>
    <definedName name="V_DIV">#REF!</definedName>
    <definedName name="V_MENS">#REF!</definedName>
    <definedName name="V_TAXA">#REF!</definedName>
    <definedName name="VCIVIL" localSheetId="1">'[1]NOTA DE HONORARIOS'!#REF!</definedName>
    <definedName name="VCIVIL">'[1]NOTA DE HONORARIOS'!#REF!</definedName>
    <definedName name="VCOM">'[1]NOTA DE HONORARIOS'!$E$19</definedName>
    <definedName name="VCONTR" localSheetId="1">'[1]NOTA DE HONORARIOS'!#REF!</definedName>
    <definedName name="VCONTR">'[1]NOTA DE HONORARIOS'!#REF!</definedName>
    <definedName name="VR">'[1]NOTA DE HONORARIOS'!$C$3</definedName>
    <definedName name="VSANC">'[1]NOTA DE HONORARIOS'!$E$20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9" i="4"/>
  <c r="K42" i="4"/>
  <c r="I37" i="4"/>
  <c r="I36" i="4"/>
  <c r="I35" i="4"/>
  <c r="K37" i="4" s="1"/>
  <c r="R27" i="4"/>
  <c r="R26" i="4"/>
  <c r="E22" i="4"/>
  <c r="F29" i="4" s="1"/>
  <c r="I21" i="4"/>
  <c r="I20" i="4"/>
  <c r="K21" i="4" l="1"/>
  <c r="M29" i="4"/>
  <c r="M30" i="4"/>
  <c r="O30" i="4" s="1"/>
  <c r="F27" i="4"/>
  <c r="I25" i="1"/>
  <c r="I24" i="1"/>
  <c r="K30" i="1"/>
  <c r="R15" i="1"/>
  <c r="R14" i="1"/>
  <c r="I23" i="1"/>
  <c r="E10" i="1"/>
  <c r="F17" i="1" s="1"/>
  <c r="M18" i="1" s="1"/>
  <c r="O18" i="1" s="1"/>
  <c r="I8" i="1"/>
  <c r="I9" i="1"/>
  <c r="S26" i="4" l="1"/>
  <c r="S27" i="4" s="1"/>
  <c r="F28" i="4"/>
  <c r="G28" i="4" s="1"/>
  <c r="I28" i="4" s="1"/>
  <c r="G27" i="4"/>
  <c r="I27" i="4" s="1"/>
  <c r="N30" i="4"/>
  <c r="P30" i="4" s="1"/>
  <c r="G30" i="4" s="1"/>
  <c r="I30" i="4" s="1"/>
  <c r="N29" i="4"/>
  <c r="O29" i="4"/>
  <c r="M17" i="1"/>
  <c r="N18" i="1" s="1"/>
  <c r="P18" i="1" s="1"/>
  <c r="G18" i="1" s="1"/>
  <c r="I18" i="1" s="1"/>
  <c r="F15" i="1"/>
  <c r="G15" i="1" s="1"/>
  <c r="I15" i="1" s="1"/>
  <c r="K9" i="1"/>
  <c r="K25" i="1"/>
  <c r="P29" i="4" l="1"/>
  <c r="G29" i="4" s="1"/>
  <c r="I29" i="4" s="1"/>
  <c r="K30" i="4" s="1"/>
  <c r="K45" i="4" s="1"/>
  <c r="N17" i="1"/>
  <c r="F16" i="1"/>
  <c r="G16" i="1" s="1"/>
  <c r="I16" i="1" s="1"/>
  <c r="S14" i="1"/>
  <c r="S15" i="1" s="1"/>
  <c r="O17" i="1"/>
  <c r="P17" i="1" l="1"/>
  <c r="G17" i="1" s="1"/>
  <c r="I17" i="1" s="1"/>
  <c r="K18" i="1" s="1"/>
  <c r="K33" i="1" s="1"/>
</calcChain>
</file>

<file path=xl/comments1.xml><?xml version="1.0" encoding="utf-8"?>
<comments xmlns="http://schemas.openxmlformats.org/spreadsheetml/2006/main">
  <authors>
    <author>Armando Oliveira</author>
  </authors>
  <commentList>
    <comment ref="E8" authorId="0" shapeId="0">
      <text>
        <r>
          <rPr>
            <sz val="9"/>
            <color indexed="81"/>
            <rFont val="Tahoma"/>
            <family val="2"/>
          </rPr>
          <t xml:space="preserve">Indique o número de executados a quem foram penhorados bens ou que pagaram:
a) Voluntáriamente (após a citação prévia) 
b) Pelo produto da penhora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Indique o número de executados sobre os quais não foram penhorados bens e que não pagaram qualquer valor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Actos que foram realizados pelo agente de execução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Indique o valor recuperado em cada uma das fases.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Caso exista garantia prévia sobre os bens penhorados ou a penhorar (arresto, penhora, hipoteca), coloque o visto em "SIM"</t>
        </r>
      </text>
    </comment>
  </commentList>
</comments>
</file>

<file path=xl/comments2.xml><?xml version="1.0" encoding="utf-8"?>
<comments xmlns="http://schemas.openxmlformats.org/spreadsheetml/2006/main">
  <authors>
    <author>Armando Oliveira</author>
  </authors>
  <commentList>
    <comment ref="E20" authorId="0" shapeId="0">
      <text>
        <r>
          <rPr>
            <sz val="9"/>
            <color indexed="81"/>
            <rFont val="Tahoma"/>
            <family val="2"/>
          </rPr>
          <t xml:space="preserve">Indique o número de executados a quem foram penhorados bens ou que pagaram:
a) Voluntáriamente (após a citação prévia) 
b) Pelo produto da penhora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Indique o número de executados sobre os quais não foram penhorados bens e que não pagaram qualquer valor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Actos que foram realizados pelo agente de execução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Indique o valor recuperado em cada uma das fases.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Caso exista garantia prévia sobre os bens penhorados ou a penhorar (arresto, penhora, hipoteca), coloque o visto em "SIM"</t>
        </r>
      </text>
    </comment>
  </commentList>
</comments>
</file>

<file path=xl/sharedStrings.xml><?xml version="1.0" encoding="utf-8"?>
<sst xmlns="http://schemas.openxmlformats.org/spreadsheetml/2006/main" count="101" uniqueCount="67">
  <si>
    <t>Valor recuperado antes da penhora (processos com dispensa de citação prévia)</t>
  </si>
  <si>
    <t>Citação ou notificação sob forma de citação por via postal, efetivamente concretizada</t>
  </si>
  <si>
    <t>a) nº 3 do artigo 18º</t>
  </si>
  <si>
    <t>Notificação por via postal ou citação eletrónica</t>
  </si>
  <si>
    <t>b) nº 3 do artigo 18º</t>
  </si>
  <si>
    <t>c) nº 3 do artigo 18º</t>
  </si>
  <si>
    <t>d) nº 3 do artigo 18º</t>
  </si>
  <si>
    <t>Por ato externo frustrado</t>
  </si>
  <si>
    <t>Ato externo concretizado (designadamente, penhora, citação, afixação de edital, apreensão de bem, assistência a abertura de propostas no tribunal)</t>
  </si>
  <si>
    <t>Realizados</t>
  </si>
  <si>
    <t>Incluidos</t>
  </si>
  <si>
    <t>a cobrar</t>
  </si>
  <si>
    <t>ACRÉSCIMO POR ATOS REALIZADOS</t>
  </si>
  <si>
    <t>Unitário</t>
  </si>
  <si>
    <t>VALOR RECUPERADO</t>
  </si>
  <si>
    <t>Valor recuperado após a penhora</t>
  </si>
  <si>
    <t>Valor recuperado após a venda</t>
  </si>
  <si>
    <t>Valor</t>
  </si>
  <si>
    <t>Valor recuperado</t>
  </si>
  <si>
    <t>TRAMITAÇÃO DO PROCESSO</t>
  </si>
  <si>
    <t>Número de executados em que foram penhorados bens ou houve pagamento</t>
  </si>
  <si>
    <t>Número de executados em que não foram penhorados bens ou não houve pagamento</t>
  </si>
  <si>
    <t>Número</t>
  </si>
  <si>
    <t>Total de executados</t>
  </si>
  <si>
    <t>c/ garantia</t>
  </si>
  <si>
    <t>1.1 da tabela II</t>
  </si>
  <si>
    <t>1.2 da tabela II</t>
  </si>
  <si>
    <t>total a mais</t>
  </si>
  <si>
    <t>TOTAL DE HONORÁRIOS</t>
  </si>
  <si>
    <t>total</t>
  </si>
  <si>
    <t>Limite</t>
  </si>
  <si>
    <t>VENDA POR NEGOCIAÇÃO PARTICULAR</t>
  </si>
  <si>
    <t>Honorários pela venda por negociação particular</t>
  </si>
  <si>
    <t>Valor da venda</t>
  </si>
  <si>
    <t>Taxa</t>
  </si>
  <si>
    <t xml:space="preserve">1.3 do anexo II  </t>
  </si>
  <si>
    <t>Anexo III e nº 11 do artigo 18º</t>
  </si>
  <si>
    <t>nº 3 do artigo 18º / 1.1 e 1.2 da tabela II</t>
  </si>
  <si>
    <t xml:space="preserve"> 1.1 e 1.2 da tabela II</t>
  </si>
  <si>
    <t>h</t>
  </si>
  <si>
    <t>CALCULO DE HONORÁRIOS A SEREM INDICADOS NA CITAÇÃO PRÉVIA</t>
  </si>
  <si>
    <t>Número de executados</t>
  </si>
  <si>
    <t>Valor peticionado</t>
  </si>
  <si>
    <t>Honorario devidos se o pagamento ocorrer antes do termo do prazo de oposição</t>
  </si>
  <si>
    <r>
      <t xml:space="preserve">Honorario devidos se o pagamento ocorrer </t>
    </r>
    <r>
      <rPr>
        <b/>
        <u/>
        <sz val="12"/>
        <color theme="1"/>
        <rFont val="Calibri"/>
        <family val="2"/>
        <scheme val="minor"/>
      </rPr>
      <t>depois</t>
    </r>
    <r>
      <rPr>
        <sz val="12"/>
        <color theme="1"/>
        <rFont val="Calibri"/>
        <family val="2"/>
        <scheme val="minor"/>
      </rPr>
      <t xml:space="preserve">  do termo do prazo de oposição</t>
    </r>
  </si>
  <si>
    <t>Esta folha de cálculo destina-se a determinar o valor a ser inserido na citação prévia (processos ordinários)</t>
  </si>
  <si>
    <t>Número de executados a quem não foram penhorados bens ou não houve pagamento</t>
  </si>
  <si>
    <t>SIMULADOR DE HONORÁRIOS PROCESSOS DE EXECUÇÃO INTENTADOS APÓS 1 DE SETEMBRO DE 2013</t>
  </si>
  <si>
    <t>Portaria 282/2013 de 29/08</t>
  </si>
  <si>
    <t>v3 09/09/2013</t>
  </si>
  <si>
    <t>O presente simulador tem por objetivo permitir simular os honorários devidos ao agente de execução nos termos da Portara 282/2013. Caso encontre alguma imprecisão solicita-se que comunique para DINF@solicitador.net</t>
  </si>
  <si>
    <t>1.1 do anexo VII</t>
  </si>
  <si>
    <t>1.2 do anexo VII</t>
  </si>
  <si>
    <t xml:space="preserve"> Remuneração fixa (1.1 e 1.2 do anexo VII)</t>
  </si>
  <si>
    <t>REMUNERAÇÃO FIXA</t>
  </si>
  <si>
    <t xml:space="preserve">1.3 do anexo VII  </t>
  </si>
  <si>
    <t>a) nº 3 do artigo 50º</t>
  </si>
  <si>
    <t>b) nº 3 do artigo 50º</t>
  </si>
  <si>
    <t>c) nº 3 do artigo 50º</t>
  </si>
  <si>
    <t>d) nº 3 do artigo 50º</t>
  </si>
  <si>
    <t>nº 3 do artigo 50º / 1.1 e 1.2 da tabela VII</t>
  </si>
  <si>
    <t xml:space="preserve"> ANEXO VIII e nº 11 do artigo 50º</t>
  </si>
  <si>
    <t>Número de executados a quem foram penhorados bens ou que efetuaram pagamento</t>
  </si>
  <si>
    <t>Taxa de IVA</t>
  </si>
  <si>
    <t>Nº de atos</t>
  </si>
  <si>
    <t>(a)</t>
  </si>
  <si>
    <t>(a) O valor não inclui IVA nem as despesas que possam ser devidas pela prática dos 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</si>
</sst>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\ \U\c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7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rgb="FF000000"/>
      <name val="Tahoma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9" fontId="0" fillId="3" borderId="0" xfId="2" applyFont="1" applyFill="1" applyAlignment="1">
      <alignment vertical="center"/>
    </xf>
    <xf numFmtId="44" fontId="2" fillId="3" borderId="1" xfId="1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164" fontId="0" fillId="3" borderId="9" xfId="0" applyNumberFormat="1" applyFill="1" applyBorder="1" applyAlignment="1">
      <alignment horizontal="center" vertical="center"/>
    </xf>
    <xf numFmtId="44" fontId="0" fillId="3" borderId="9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164" fontId="0" fillId="3" borderId="0" xfId="0" applyNumberFormat="1" applyFill="1" applyBorder="1" applyAlignment="1">
      <alignment horizontal="center" vertical="center"/>
    </xf>
    <xf numFmtId="44" fontId="0" fillId="3" borderId="0" xfId="1" applyFont="1" applyFill="1" applyBorder="1" applyAlignment="1">
      <alignment vertical="center"/>
    </xf>
    <xf numFmtId="44" fontId="0" fillId="3" borderId="2" xfId="1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9" fontId="0" fillId="3" borderId="1" xfId="2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4" fontId="10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4" fontId="10" fillId="2" borderId="1" xfId="1" applyFont="1" applyFill="1" applyBorder="1" applyAlignment="1" applyProtection="1">
      <alignment horizontal="center" vertical="center" wrapText="1"/>
      <protection locked="0"/>
    </xf>
    <xf numFmtId="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23" lockText="1" noThreeD="1"/>
</file>

<file path=xl/ctrlProps/ctrlProp2.xml><?xml version="1.0" encoding="utf-8"?>
<formControlPr xmlns="http://schemas.microsoft.com/office/spreadsheetml/2009/9/main" objectType="CheckBox" fmlaLink="$E$24" lockText="1" noThreeD="1"/>
</file>

<file path=xl/ctrlProps/ctrlProp3.xml><?xml version="1.0" encoding="utf-8"?>
<formControlPr xmlns="http://schemas.microsoft.com/office/spreadsheetml/2009/9/main" objectType="CheckBox" fmlaLink="$E$25" lockText="1" noThreeD="1"/>
</file>

<file path=xl/ctrlProps/ctrlProp4.xml><?xml version="1.0" encoding="utf-8"?>
<formControlPr xmlns="http://schemas.microsoft.com/office/spreadsheetml/2009/9/main" objectType="CheckBox" fmlaLink="$E$35" lockText="1" noThreeD="1"/>
</file>

<file path=xl/ctrlProps/ctrlProp5.xml><?xml version="1.0" encoding="utf-8"?>
<formControlPr xmlns="http://schemas.microsoft.com/office/spreadsheetml/2009/9/main" objectType="CheckBox" fmlaLink="$E$36" lockText="1" noThreeD="1"/>
</file>

<file path=xl/ctrlProps/ctrlProp6.xml><?xml version="1.0" encoding="utf-8"?>
<formControlPr xmlns="http://schemas.microsoft.com/office/spreadsheetml/2009/9/main" objectType="CheckBox" fmlaLink="$E$3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4</xdr:col>
          <xdr:colOff>533400</xdr:colOff>
          <xdr:row>22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323850</xdr:rowOff>
        </xdr:from>
        <xdr:to>
          <xdr:col>4</xdr:col>
          <xdr:colOff>533400</xdr:colOff>
          <xdr:row>23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4</xdr:col>
          <xdr:colOff>533400</xdr:colOff>
          <xdr:row>24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34</xdr:row>
          <xdr:rowOff>0</xdr:rowOff>
        </xdr:from>
        <xdr:to>
          <xdr:col>4</xdr:col>
          <xdr:colOff>533400</xdr:colOff>
          <xdr:row>34</xdr:row>
          <xdr:rowOff>323850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34</xdr:row>
          <xdr:rowOff>323850</xdr:rowOff>
        </xdr:from>
        <xdr:to>
          <xdr:col>4</xdr:col>
          <xdr:colOff>533400</xdr:colOff>
          <xdr:row>35</xdr:row>
          <xdr:rowOff>314325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36</xdr:row>
          <xdr:rowOff>0</xdr:rowOff>
        </xdr:from>
        <xdr:to>
          <xdr:col>4</xdr:col>
          <xdr:colOff>533400</xdr:colOff>
          <xdr:row>36</xdr:row>
          <xdr:rowOff>323850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ndo%20Oliveira/AppData/Roaming/Microsoft/Excel/NOTA%20DISCRIMINATIVA%20VELHOS%20V1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DE HONORARIOS"/>
      <sheetName val="CONFIGURAÇÕES"/>
      <sheetName val="tabela"/>
      <sheetName val="Juros"/>
    </sheetNames>
    <sheetDataSet>
      <sheetData sheetId="0">
        <row r="1">
          <cell r="C1" t="str">
            <v>348/10.6TBCBC</v>
          </cell>
        </row>
        <row r="2">
          <cell r="A2">
            <v>98</v>
          </cell>
        </row>
        <row r="3">
          <cell r="C3">
            <v>122248.55</v>
          </cell>
        </row>
        <row r="19">
          <cell r="C19" t="str">
            <v>09-02-2007</v>
          </cell>
          <cell r="D19" t="str">
            <v>31-03-2011</v>
          </cell>
          <cell r="E19">
            <v>108079.52</v>
          </cell>
        </row>
        <row r="20">
          <cell r="E20">
            <v>108079.52</v>
          </cell>
        </row>
      </sheetData>
      <sheetData sheetId="1">
        <row r="3">
          <cell r="A3" t="str">
            <v>DATA INICIO</v>
          </cell>
          <cell r="B3" t="str">
            <v>VALOR</v>
          </cell>
        </row>
        <row r="4">
          <cell r="A4">
            <v>37622</v>
          </cell>
          <cell r="B4">
            <v>79.81</v>
          </cell>
        </row>
        <row r="5">
          <cell r="A5">
            <v>37987</v>
          </cell>
          <cell r="B5">
            <v>89</v>
          </cell>
        </row>
        <row r="6">
          <cell r="A6">
            <v>40179</v>
          </cell>
          <cell r="B6">
            <v>102</v>
          </cell>
        </row>
        <row r="7">
          <cell r="A7">
            <v>38718</v>
          </cell>
          <cell r="B7">
            <v>98</v>
          </cell>
        </row>
        <row r="8">
          <cell r="A8">
            <v>39923</v>
          </cell>
          <cell r="B8">
            <v>102</v>
          </cell>
        </row>
        <row r="9">
          <cell r="A9">
            <v>40179</v>
          </cell>
          <cell r="B9">
            <v>102</v>
          </cell>
        </row>
        <row r="15">
          <cell r="B15" t="str">
            <v>Marlene Sá Carneiro</v>
          </cell>
        </row>
        <row r="16">
          <cell r="B16" t="str">
            <v>Praça dos Combatentes, 37</v>
          </cell>
        </row>
        <row r="17">
          <cell r="B17" t="str">
            <v>4490-439 PÓVOA DE VARZIM</v>
          </cell>
        </row>
        <row r="18">
          <cell r="B18" t="str">
            <v>+351252613411</v>
          </cell>
        </row>
        <row r="19">
          <cell r="B19" t="str">
            <v>+351252648136</v>
          </cell>
        </row>
        <row r="20">
          <cell r="B20" t="str">
            <v>3503@solicitador.net</v>
          </cell>
        </row>
        <row r="21">
          <cell r="B21" t="str">
            <v>10 às 11 horas - dias úteis</v>
          </cell>
        </row>
        <row r="22">
          <cell r="B22" t="str">
            <v>211079626</v>
          </cell>
        </row>
        <row r="23">
          <cell r="B23" t="str">
            <v>3503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34"/>
  <sheetViews>
    <sheetView tabSelected="1" topLeftCell="A2" zoomScale="85" zoomScaleNormal="85" workbookViewId="0">
      <selection activeCell="E15" sqref="E15"/>
    </sheetView>
  </sheetViews>
  <sheetFormatPr defaultColWidth="8.85546875" defaultRowHeight="27" customHeight="1" x14ac:dyDescent="0.25"/>
  <cols>
    <col min="1" max="1" width="1" style="3" customWidth="1"/>
    <col min="2" max="2" width="1.5703125" style="3" customWidth="1"/>
    <col min="3" max="3" width="55.28515625" style="3" customWidth="1"/>
    <col min="4" max="4" width="19.5703125" style="3" customWidth="1"/>
    <col min="5" max="5" width="10.42578125" style="3" customWidth="1"/>
    <col min="6" max="8" width="8.85546875" style="3"/>
    <col min="9" max="9" width="15.42578125" style="3" customWidth="1"/>
    <col min="10" max="10" width="1.28515625" style="3" customWidth="1"/>
    <col min="11" max="11" width="18.28515625" style="3" customWidth="1"/>
    <col min="12" max="12" width="1.140625" style="3" customWidth="1"/>
    <col min="13" max="13" width="11.85546875" style="3" hidden="1" customWidth="1"/>
    <col min="14" max="19" width="13.140625" style="3" hidden="1" customWidth="1"/>
    <col min="20" max="20" width="13.140625" style="3" customWidth="1"/>
    <col min="21" max="16384" width="8.85546875" style="3"/>
  </cols>
  <sheetData>
    <row r="1" spans="2:21" ht="27" customHeight="1" x14ac:dyDescent="0.25">
      <c r="C1" s="53" t="s">
        <v>47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2:21" ht="27" customHeight="1" x14ac:dyDescent="0.25">
      <c r="C2" s="53" t="s">
        <v>48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ht="27" customHeight="1" thickBot="1" x14ac:dyDescent="0.3">
      <c r="C3" s="70" t="s">
        <v>49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40.15" customHeight="1" thickBot="1" x14ac:dyDescent="0.3"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5.45" customHeight="1" thickBot="1" x14ac:dyDescent="0.3"/>
    <row r="6" spans="2:21" ht="3.6" customHeight="1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6"/>
      <c r="T6" s="64" t="s">
        <v>53</v>
      </c>
      <c r="U6" s="65"/>
    </row>
    <row r="7" spans="2:21" ht="27" customHeight="1" x14ac:dyDescent="0.25">
      <c r="B7" s="7"/>
      <c r="C7" s="8" t="s">
        <v>54</v>
      </c>
      <c r="D7" s="9"/>
      <c r="E7" s="10" t="s">
        <v>22</v>
      </c>
      <c r="F7" s="9"/>
      <c r="G7" s="9"/>
      <c r="H7" s="11" t="s">
        <v>13</v>
      </c>
      <c r="I7" s="10" t="s">
        <v>17</v>
      </c>
      <c r="J7" s="9"/>
      <c r="K7" s="9"/>
      <c r="L7" s="12"/>
      <c r="T7" s="66"/>
      <c r="U7" s="67"/>
    </row>
    <row r="8" spans="2:21" ht="27" customHeight="1" x14ac:dyDescent="0.25">
      <c r="B8" s="7"/>
      <c r="C8" s="13" t="s">
        <v>62</v>
      </c>
      <c r="D8" s="11" t="s">
        <v>51</v>
      </c>
      <c r="E8" s="33">
        <v>1</v>
      </c>
      <c r="F8" s="39"/>
      <c r="G8" s="41"/>
      <c r="H8" s="14">
        <v>2.5</v>
      </c>
      <c r="I8" s="15">
        <f>E8*H8*102</f>
        <v>255</v>
      </c>
      <c r="J8" s="9"/>
      <c r="K8" s="9"/>
      <c r="L8" s="12"/>
      <c r="T8" s="66"/>
      <c r="U8" s="67"/>
    </row>
    <row r="9" spans="2:21" ht="27" customHeight="1" x14ac:dyDescent="0.25">
      <c r="B9" s="7"/>
      <c r="C9" s="13" t="s">
        <v>46</v>
      </c>
      <c r="D9" s="11" t="s">
        <v>52</v>
      </c>
      <c r="E9" s="33">
        <v>0</v>
      </c>
      <c r="F9" s="39"/>
      <c r="G9" s="41"/>
      <c r="H9" s="14">
        <v>1.5</v>
      </c>
      <c r="I9" s="15">
        <f>E9*H9*102</f>
        <v>0</v>
      </c>
      <c r="J9" s="9"/>
      <c r="K9" s="16">
        <f>SUM(I8:I9)</f>
        <v>255</v>
      </c>
      <c r="L9" s="12"/>
      <c r="T9" s="66"/>
      <c r="U9" s="67"/>
    </row>
    <row r="10" spans="2:21" ht="0.6" customHeight="1" x14ac:dyDescent="0.25">
      <c r="B10" s="7"/>
      <c r="C10" s="17" t="s">
        <v>23</v>
      </c>
      <c r="D10" s="9"/>
      <c r="E10" s="10">
        <f>E8+E9</f>
        <v>1</v>
      </c>
      <c r="F10" s="9"/>
      <c r="G10" s="9"/>
      <c r="H10" s="9"/>
      <c r="I10" s="9"/>
      <c r="J10" s="9"/>
      <c r="K10" s="9"/>
      <c r="L10" s="12"/>
      <c r="T10" s="66"/>
      <c r="U10" s="67"/>
    </row>
    <row r="11" spans="2:21" ht="3.6" customHeight="1" thickBot="1" x14ac:dyDescent="0.3">
      <c r="B11" s="18"/>
      <c r="C11" s="19"/>
      <c r="D11" s="20"/>
      <c r="E11" s="1"/>
      <c r="F11" s="20"/>
      <c r="G11" s="20"/>
      <c r="H11" s="20"/>
      <c r="I11" s="20"/>
      <c r="J11" s="20"/>
      <c r="K11" s="20"/>
      <c r="L11" s="21"/>
      <c r="T11" s="68"/>
      <c r="U11" s="69"/>
    </row>
    <row r="12" spans="2:21" ht="7.9" customHeight="1" thickBot="1" x14ac:dyDescent="0.3"/>
    <row r="13" spans="2:21" ht="4.1500000000000004" customHeight="1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6"/>
      <c r="T13" s="64" t="s">
        <v>60</v>
      </c>
      <c r="U13" s="65"/>
    </row>
    <row r="14" spans="2:21" ht="27" customHeight="1" x14ac:dyDescent="0.25">
      <c r="B14" s="7"/>
      <c r="C14" s="8" t="s">
        <v>12</v>
      </c>
      <c r="D14" s="9"/>
      <c r="E14" s="51" t="s">
        <v>64</v>
      </c>
      <c r="F14" s="10" t="s">
        <v>10</v>
      </c>
      <c r="G14" s="10" t="s">
        <v>11</v>
      </c>
      <c r="H14" s="10" t="s">
        <v>13</v>
      </c>
      <c r="I14" s="10" t="s">
        <v>17</v>
      </c>
      <c r="J14" s="9"/>
      <c r="K14" s="9"/>
      <c r="L14" s="12"/>
      <c r="Q14" s="3" t="s">
        <v>29</v>
      </c>
      <c r="R14" s="3">
        <f>E15+E17+E18</f>
        <v>3</v>
      </c>
      <c r="S14" s="3">
        <f>F15+F17</f>
        <v>8</v>
      </c>
      <c r="T14" s="66"/>
      <c r="U14" s="67"/>
    </row>
    <row r="15" spans="2:21" ht="27" customHeight="1" x14ac:dyDescent="0.25">
      <c r="B15" s="7"/>
      <c r="C15" s="13" t="s">
        <v>1</v>
      </c>
      <c r="D15" s="11" t="s">
        <v>56</v>
      </c>
      <c r="E15" s="33">
        <v>1</v>
      </c>
      <c r="F15" s="10">
        <f>E10*6</f>
        <v>6</v>
      </c>
      <c r="G15" s="10">
        <f>IF(E15&lt;=F15,0,E15-F15)</f>
        <v>0</v>
      </c>
      <c r="H15" s="14">
        <v>0.25</v>
      </c>
      <c r="I15" s="22">
        <f>H15*G15*102</f>
        <v>0</v>
      </c>
      <c r="J15" s="9"/>
      <c r="K15" s="9"/>
      <c r="L15" s="12"/>
      <c r="Q15" s="3" t="s">
        <v>30</v>
      </c>
      <c r="R15" s="3">
        <f>E16</f>
        <v>1</v>
      </c>
      <c r="S15" s="3">
        <f>R15*S14/R14</f>
        <v>2.6666666666666665</v>
      </c>
      <c r="T15" s="66"/>
      <c r="U15" s="67"/>
    </row>
    <row r="16" spans="2:21" ht="27" customHeight="1" x14ac:dyDescent="0.25">
      <c r="B16" s="7"/>
      <c r="C16" s="13" t="s">
        <v>3</v>
      </c>
      <c r="D16" s="11" t="s">
        <v>57</v>
      </c>
      <c r="E16" s="33">
        <v>1</v>
      </c>
      <c r="F16" s="10">
        <f>IF(IF(IF(E15&gt;F15,1,0)+IF(E17+E18&gt;F17,1,0)&gt;0,ROUND(E16*(F15+F17)/(E15+E17+E18),0),E16)&gt;E16,E16,IF(IF(E15&gt;F15,1,0)+IF(E17+E18&gt;F17,1,0)&gt;0,ROUND(E16*(F15+F17)/(E15+E17+E18),0),E16))</f>
        <v>1</v>
      </c>
      <c r="G16" s="10">
        <f>IF(E16&lt;=F16,0,E16-F16)</f>
        <v>0</v>
      </c>
      <c r="H16" s="14">
        <v>0.05</v>
      </c>
      <c r="I16" s="22">
        <f>H16*G16*102</f>
        <v>0</v>
      </c>
      <c r="J16" s="9"/>
      <c r="K16" s="9"/>
      <c r="L16" s="12"/>
      <c r="N16" s="3" t="s">
        <v>27</v>
      </c>
      <c r="T16" s="66"/>
      <c r="U16" s="67"/>
    </row>
    <row r="17" spans="2:23" ht="36" customHeight="1" x14ac:dyDescent="0.25">
      <c r="B17" s="7"/>
      <c r="C17" s="13" t="s">
        <v>8</v>
      </c>
      <c r="D17" s="11" t="s">
        <v>58</v>
      </c>
      <c r="E17" s="33">
        <v>1</v>
      </c>
      <c r="F17" s="63">
        <f>E10*2</f>
        <v>2</v>
      </c>
      <c r="G17" s="10">
        <f>P17</f>
        <v>0</v>
      </c>
      <c r="H17" s="14">
        <v>0.5</v>
      </c>
      <c r="I17" s="22">
        <f>H17*G17*102</f>
        <v>0</v>
      </c>
      <c r="J17" s="9"/>
      <c r="K17" s="9"/>
      <c r="L17" s="12"/>
      <c r="M17" s="3">
        <f>IF(E17+E18&gt;F17,"tem",0)</f>
        <v>0</v>
      </c>
      <c r="N17" s="3" t="b">
        <f>IF(M17="tem",E17+E18-F17)</f>
        <v>0</v>
      </c>
      <c r="O17" s="24">
        <f>IF(M17="tem",E17/(E17+E18),1)</f>
        <v>1</v>
      </c>
      <c r="P17" s="3">
        <f>ROUND(N17*O17,0)</f>
        <v>0</v>
      </c>
      <c r="T17" s="66"/>
      <c r="U17" s="67"/>
    </row>
    <row r="18" spans="2:23" ht="27" customHeight="1" x14ac:dyDescent="0.25">
      <c r="B18" s="7"/>
      <c r="C18" s="13" t="s">
        <v>7</v>
      </c>
      <c r="D18" s="11" t="s">
        <v>59</v>
      </c>
      <c r="E18" s="33">
        <v>1</v>
      </c>
      <c r="F18" s="63"/>
      <c r="G18" s="10">
        <f>P18</f>
        <v>0</v>
      </c>
      <c r="H18" s="14">
        <v>0.25</v>
      </c>
      <c r="I18" s="22">
        <f>H18*G18*102</f>
        <v>0</v>
      </c>
      <c r="J18" s="9"/>
      <c r="K18" s="25">
        <f>SUM(I15:I18)</f>
        <v>0</v>
      </c>
      <c r="L18" s="12"/>
      <c r="M18" s="3">
        <f>IF(E17+E18&gt;F17,"tem",0)</f>
        <v>0</v>
      </c>
      <c r="N18" s="3" t="b">
        <f>IF(M17="tem",E17+E18-F17)</f>
        <v>0</v>
      </c>
      <c r="O18" s="24">
        <f>IF(M18="tem",E18/(E18+E17),1)</f>
        <v>1</v>
      </c>
      <c r="P18" s="3">
        <f>ROUND(N18*O18,0)</f>
        <v>0</v>
      </c>
      <c r="T18" s="66"/>
      <c r="U18" s="67"/>
    </row>
    <row r="19" spans="2:23" ht="5.45" customHeight="1" thickBot="1" x14ac:dyDescent="0.3">
      <c r="B19" s="18"/>
      <c r="C19" s="26"/>
      <c r="D19" s="20"/>
      <c r="E19" s="1"/>
      <c r="F19" s="1"/>
      <c r="G19" s="1"/>
      <c r="H19" s="27"/>
      <c r="I19" s="28"/>
      <c r="J19" s="20"/>
      <c r="K19" s="28"/>
      <c r="L19" s="21"/>
      <c r="O19" s="24"/>
      <c r="T19" s="68"/>
      <c r="U19" s="69"/>
    </row>
    <row r="20" spans="2:23" ht="8.4499999999999993" customHeight="1" thickBot="1" x14ac:dyDescent="0.3">
      <c r="B20" s="9"/>
      <c r="C20" s="29"/>
      <c r="D20" s="9"/>
      <c r="E20" s="2"/>
      <c r="F20" s="2"/>
      <c r="G20" s="2"/>
      <c r="H20" s="30"/>
      <c r="I20" s="31"/>
      <c r="J20" s="9"/>
      <c r="K20" s="31"/>
      <c r="L20" s="9"/>
      <c r="O20" s="24"/>
    </row>
    <row r="21" spans="2:23" ht="10.9" customHeight="1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6"/>
      <c r="T21" s="64" t="s">
        <v>61</v>
      </c>
      <c r="U21" s="65"/>
    </row>
    <row r="22" spans="2:23" ht="27" customHeight="1" x14ac:dyDescent="0.25">
      <c r="B22" s="7"/>
      <c r="C22" s="8" t="s">
        <v>14</v>
      </c>
      <c r="D22" s="10" t="s">
        <v>18</v>
      </c>
      <c r="E22" s="11" t="s">
        <v>24</v>
      </c>
      <c r="F22" s="9"/>
      <c r="G22" s="9"/>
      <c r="H22" s="9"/>
      <c r="I22" s="10" t="s">
        <v>17</v>
      </c>
      <c r="J22" s="9"/>
      <c r="K22" s="9"/>
      <c r="L22" s="12"/>
      <c r="T22" s="66"/>
      <c r="U22" s="67"/>
    </row>
    <row r="23" spans="2:23" ht="27" customHeight="1" x14ac:dyDescent="0.25">
      <c r="B23" s="7"/>
      <c r="C23" s="13" t="s">
        <v>0</v>
      </c>
      <c r="D23" s="34">
        <v>1000</v>
      </c>
      <c r="E23" s="35" t="b">
        <v>0</v>
      </c>
      <c r="F23" s="39"/>
      <c r="G23" s="40"/>
      <c r="H23" s="41"/>
      <c r="I23" s="22">
        <f>IF(D23&gt;16320,(D23-16320)*4%+16320*10%,D23*10%)*IF(E23=FALSE,1,0.5)</f>
        <v>100</v>
      </c>
      <c r="J23" s="9"/>
      <c r="K23" s="9"/>
      <c r="L23" s="12"/>
      <c r="T23" s="66"/>
      <c r="U23" s="67"/>
    </row>
    <row r="24" spans="2:23" ht="27" customHeight="1" x14ac:dyDescent="0.25">
      <c r="B24" s="7"/>
      <c r="C24" s="13" t="s">
        <v>15</v>
      </c>
      <c r="D24" s="34"/>
      <c r="E24" s="35" t="b">
        <v>0</v>
      </c>
      <c r="F24" s="39"/>
      <c r="G24" s="40"/>
      <c r="H24" s="41"/>
      <c r="I24" s="22">
        <f>IF(D24&gt;16320,(D24-16320)*3%+16320*7.5%,D24*7.5%)*IF(E24=FALSE,1,0.5)</f>
        <v>0</v>
      </c>
      <c r="J24" s="9"/>
      <c r="K24" s="9"/>
      <c r="L24" s="12"/>
      <c r="T24" s="66"/>
      <c r="U24" s="67"/>
      <c r="W24" s="3" t="s">
        <v>39</v>
      </c>
    </row>
    <row r="25" spans="2:23" ht="27" customHeight="1" x14ac:dyDescent="0.25">
      <c r="B25" s="7"/>
      <c r="C25" s="13" t="s">
        <v>16</v>
      </c>
      <c r="D25" s="34">
        <v>0</v>
      </c>
      <c r="E25" s="35" t="b">
        <v>0</v>
      </c>
      <c r="F25" s="42"/>
      <c r="G25" s="43"/>
      <c r="H25" s="44"/>
      <c r="I25" s="22">
        <f>IF(D25&gt;16320,(D25-16320)*2%+16320*5%,D25*5%)*IF(E25=FALSE,1,0.5)</f>
        <v>0</v>
      </c>
      <c r="J25" s="9"/>
      <c r="K25" s="16">
        <f>SUM(I23:I25)</f>
        <v>100</v>
      </c>
      <c r="L25" s="12"/>
      <c r="T25" s="66"/>
      <c r="U25" s="67"/>
    </row>
    <row r="26" spans="2:23" ht="10.15" customHeight="1" thickBot="1" x14ac:dyDescent="0.3">
      <c r="B26" s="18"/>
      <c r="C26" s="20"/>
      <c r="D26" s="20"/>
      <c r="E26" s="20"/>
      <c r="F26" s="20"/>
      <c r="G26" s="20"/>
      <c r="H26" s="20"/>
      <c r="I26" s="20"/>
      <c r="J26" s="20"/>
      <c r="K26" s="20"/>
      <c r="L26" s="21"/>
      <c r="T26" s="68"/>
      <c r="U26" s="69"/>
    </row>
    <row r="27" spans="2:23" ht="8.4499999999999993" customHeight="1" thickBot="1" x14ac:dyDescent="0.3"/>
    <row r="28" spans="2:23" ht="5.45" customHeight="1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  <c r="T28" s="54" t="s">
        <v>55</v>
      </c>
      <c r="U28" s="55"/>
    </row>
    <row r="29" spans="2:23" ht="31.15" customHeight="1" x14ac:dyDescent="0.25">
      <c r="B29" s="7"/>
      <c r="C29" s="8" t="s">
        <v>31</v>
      </c>
      <c r="D29" s="10" t="s">
        <v>33</v>
      </c>
      <c r="E29" s="10" t="s">
        <v>34</v>
      </c>
      <c r="F29" s="9"/>
      <c r="G29" s="9"/>
      <c r="H29" s="9"/>
      <c r="I29" s="9"/>
      <c r="J29" s="9"/>
      <c r="K29" s="9"/>
      <c r="L29" s="12"/>
      <c r="T29" s="56"/>
      <c r="U29" s="57"/>
    </row>
    <row r="30" spans="2:23" ht="26.45" customHeight="1" x14ac:dyDescent="0.25">
      <c r="B30" s="7"/>
      <c r="C30" s="9" t="s">
        <v>32</v>
      </c>
      <c r="D30" s="34">
        <v>0</v>
      </c>
      <c r="E30" s="36">
        <v>0.01</v>
      </c>
      <c r="F30" s="39"/>
      <c r="G30" s="40"/>
      <c r="H30" s="40"/>
      <c r="I30" s="40"/>
      <c r="J30" s="41"/>
      <c r="K30" s="16">
        <f>ROUND(D30*E30,2)</f>
        <v>0</v>
      </c>
      <c r="L30" s="12"/>
      <c r="T30" s="56"/>
      <c r="U30" s="57"/>
    </row>
    <row r="31" spans="2:23" ht="6" customHeight="1" thickBot="1" x14ac:dyDescent="0.3"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1"/>
      <c r="T31" s="58"/>
      <c r="U31" s="59"/>
    </row>
    <row r="32" spans="2:23" ht="10.15" customHeight="1" thickBot="1" x14ac:dyDescent="0.3"/>
    <row r="33" spans="3:20" ht="27" customHeight="1" thickBot="1" x14ac:dyDescent="0.3">
      <c r="H33" s="37"/>
      <c r="I33" s="38" t="s">
        <v>28</v>
      </c>
      <c r="K33" s="32">
        <f>SUM(K7:K31)</f>
        <v>355</v>
      </c>
      <c r="T33" s="3" t="s">
        <v>65</v>
      </c>
    </row>
    <row r="34" spans="3:20" ht="27" customHeight="1" x14ac:dyDescent="0.25">
      <c r="C34" s="3" t="s">
        <v>66</v>
      </c>
    </row>
  </sheetData>
  <sheetProtection algorithmName="SHA-512" hashValue="MqtzFzIUSMJFUCVAWOr2KB5lr4cdXX35/uUY/7u6GI4MQnIKxvQ3XwzQOp0YoXjqpFgwFhVtuvmSNuelBwvkxw==" saltValue="GUFE3OFodv00GaQNB8dQMw==" spinCount="100000" sheet="1" objects="1" scenarios="1" selectLockedCells="1"/>
  <mergeCells count="9">
    <mergeCell ref="C1:U1"/>
    <mergeCell ref="T28:U31"/>
    <mergeCell ref="C2:U2"/>
    <mergeCell ref="B4:U4"/>
    <mergeCell ref="F17:F18"/>
    <mergeCell ref="T6:U11"/>
    <mergeCell ref="T13:U19"/>
    <mergeCell ref="T21:U26"/>
    <mergeCell ref="C3:U3"/>
  </mergeCells>
  <conditionalFormatting sqref="G15:G20">
    <cfRule type="cellIs" dxfId="1" priority="1" operator="greaterThan">
      <formula>0</formula>
    </cfRule>
  </conditionalFormatting>
  <pageMargins left="0.7" right="0.7" top="0.75" bottom="0.75" header="0.3" footer="0.3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4</xdr:col>
                    <xdr:colOff>533400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323850</xdr:rowOff>
                  </from>
                  <to>
                    <xdr:col>4</xdr:col>
                    <xdr:colOff>533400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4</xdr:col>
                    <xdr:colOff>533400</xdr:colOff>
                    <xdr:row>24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45"/>
  <sheetViews>
    <sheetView zoomScaleNormal="100" workbookViewId="0">
      <selection activeCell="D6" sqref="D6"/>
    </sheetView>
  </sheetViews>
  <sheetFormatPr defaultColWidth="8.85546875" defaultRowHeight="27" customHeight="1" x14ac:dyDescent="0.25"/>
  <cols>
    <col min="1" max="1" width="1" style="3" customWidth="1"/>
    <col min="2" max="2" width="1.5703125" style="3" customWidth="1"/>
    <col min="3" max="3" width="55.28515625" style="3" customWidth="1"/>
    <col min="4" max="4" width="17.7109375" style="3" bestFit="1" customWidth="1"/>
    <col min="5" max="5" width="10.42578125" style="3" customWidth="1"/>
    <col min="6" max="8" width="8.85546875" style="3"/>
    <col min="9" max="9" width="15.42578125" style="3" customWidth="1"/>
    <col min="10" max="10" width="1.28515625" style="3" customWidth="1"/>
    <col min="11" max="11" width="18.28515625" style="3" customWidth="1"/>
    <col min="12" max="12" width="1.140625" style="3" customWidth="1"/>
    <col min="13" max="13" width="11.85546875" style="3" hidden="1" customWidth="1"/>
    <col min="14" max="19" width="13.140625" style="3" hidden="1" customWidth="1"/>
    <col min="20" max="20" width="13.140625" style="3" customWidth="1"/>
    <col min="21" max="16384" width="8.85546875" style="3"/>
  </cols>
  <sheetData>
    <row r="1" spans="2:21" ht="27" customHeight="1" x14ac:dyDescent="0.25">
      <c r="C1" s="53" t="s">
        <v>40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2:21" ht="27" customHeight="1" x14ac:dyDescent="0.25">
      <c r="C2" s="53" t="s">
        <v>48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ht="27" customHeight="1" thickBot="1" x14ac:dyDescent="0.3">
      <c r="C3" s="70" t="s">
        <v>49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40.15" customHeight="1" thickBot="1" x14ac:dyDescent="0.3">
      <c r="B4" s="60" t="s">
        <v>45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</row>
    <row r="5" spans="2:21" ht="40.1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2:21" ht="40.15" customHeight="1" x14ac:dyDescent="0.25">
      <c r="B6" s="45"/>
      <c r="C6" s="46" t="s">
        <v>41</v>
      </c>
      <c r="D6" s="48">
        <v>1</v>
      </c>
      <c r="E6" s="45"/>
      <c r="F6" s="5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40.15" customHeight="1" x14ac:dyDescent="0.25">
      <c r="B7" s="45"/>
      <c r="C7" s="46" t="s">
        <v>42</v>
      </c>
      <c r="D7" s="49">
        <v>20000</v>
      </c>
      <c r="E7" s="45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2:21" ht="40.15" customHeight="1" x14ac:dyDescent="0.25">
      <c r="B8" s="45"/>
      <c r="C8" s="46" t="s">
        <v>63</v>
      </c>
      <c r="D8" s="50">
        <v>0.23</v>
      </c>
      <c r="E8" s="4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2:21" ht="40.15" customHeight="1" x14ac:dyDescent="0.25">
      <c r="B9" s="45"/>
      <c r="C9" s="46" t="s">
        <v>43</v>
      </c>
      <c r="D9" s="47">
        <f>D6*2.5*102*(1+D8)</f>
        <v>313.64999999999998</v>
      </c>
      <c r="E9" s="45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2:21" ht="40.15" customHeight="1" x14ac:dyDescent="0.25">
      <c r="B10" s="45"/>
      <c r="C10" s="46" t="s">
        <v>44</v>
      </c>
      <c r="D10" s="47">
        <f>IF(D7&gt;16320,(D7-16320)*4%+16320*10%,D7*10%)*(1+D8)</f>
        <v>2188.4160000000002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2:21" ht="40.15" customHeight="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2:21" ht="40.15" customHeight="1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40.15" customHeigh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40.15" customHeight="1" x14ac:dyDescent="0.2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2:21" ht="40.15" customHeight="1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2:21" ht="40.15" customHeight="1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2:21" ht="5.45" customHeight="1" thickBot="1" x14ac:dyDescent="0.3"/>
    <row r="18" spans="2:21" ht="3.6" customHeight="1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6"/>
      <c r="T18" s="54" t="s">
        <v>38</v>
      </c>
      <c r="U18" s="55"/>
    </row>
    <row r="19" spans="2:21" ht="27" customHeight="1" x14ac:dyDescent="0.25">
      <c r="B19" s="7"/>
      <c r="C19" s="8" t="s">
        <v>19</v>
      </c>
      <c r="D19" s="9"/>
      <c r="E19" s="23" t="s">
        <v>22</v>
      </c>
      <c r="F19" s="9"/>
      <c r="G19" s="9"/>
      <c r="H19" s="11" t="s">
        <v>13</v>
      </c>
      <c r="I19" s="23" t="s">
        <v>17</v>
      </c>
      <c r="J19" s="9"/>
      <c r="K19" s="9"/>
      <c r="L19" s="12"/>
      <c r="T19" s="56"/>
      <c r="U19" s="57"/>
    </row>
    <row r="20" spans="2:21" ht="27" customHeight="1" x14ac:dyDescent="0.25">
      <c r="B20" s="7"/>
      <c r="C20" s="13" t="s">
        <v>20</v>
      </c>
      <c r="D20" s="11" t="s">
        <v>25</v>
      </c>
      <c r="E20" s="33">
        <v>1</v>
      </c>
      <c r="F20" s="39"/>
      <c r="G20" s="41"/>
      <c r="H20" s="14">
        <v>2.5</v>
      </c>
      <c r="I20" s="15">
        <f>E20*H20*102</f>
        <v>255</v>
      </c>
      <c r="J20" s="9"/>
      <c r="K20" s="9"/>
      <c r="L20" s="12"/>
      <c r="T20" s="56"/>
      <c r="U20" s="57"/>
    </row>
    <row r="21" spans="2:21" ht="27" customHeight="1" x14ac:dyDescent="0.25">
      <c r="B21" s="7"/>
      <c r="C21" s="13" t="s">
        <v>21</v>
      </c>
      <c r="D21" s="11" t="s">
        <v>26</v>
      </c>
      <c r="E21" s="33">
        <v>0</v>
      </c>
      <c r="F21" s="39"/>
      <c r="G21" s="41"/>
      <c r="H21" s="14">
        <v>1.5</v>
      </c>
      <c r="I21" s="15">
        <f>E21*H21*102</f>
        <v>0</v>
      </c>
      <c r="J21" s="9"/>
      <c r="K21" s="16">
        <f>SUM(I20:I21)</f>
        <v>255</v>
      </c>
      <c r="L21" s="12"/>
      <c r="T21" s="56"/>
      <c r="U21" s="57"/>
    </row>
    <row r="22" spans="2:21" ht="0.6" customHeight="1" x14ac:dyDescent="0.25">
      <c r="B22" s="7"/>
      <c r="C22" s="17" t="s">
        <v>23</v>
      </c>
      <c r="D22" s="9"/>
      <c r="E22" s="23">
        <f>E20+E21</f>
        <v>1</v>
      </c>
      <c r="F22" s="9"/>
      <c r="G22" s="9"/>
      <c r="H22" s="9"/>
      <c r="I22" s="9"/>
      <c r="J22" s="9"/>
      <c r="K22" s="9"/>
      <c r="L22" s="12"/>
      <c r="T22" s="56"/>
      <c r="U22" s="57"/>
    </row>
    <row r="23" spans="2:21" ht="3.6" customHeight="1" thickBot="1" x14ac:dyDescent="0.3">
      <c r="B23" s="18"/>
      <c r="C23" s="19"/>
      <c r="D23" s="20"/>
      <c r="E23" s="1"/>
      <c r="F23" s="20"/>
      <c r="G23" s="20"/>
      <c r="H23" s="20"/>
      <c r="I23" s="20"/>
      <c r="J23" s="20"/>
      <c r="K23" s="20"/>
      <c r="L23" s="21"/>
      <c r="T23" s="58"/>
      <c r="U23" s="59"/>
    </row>
    <row r="24" spans="2:21" ht="7.9" customHeight="1" thickBot="1" x14ac:dyDescent="0.3"/>
    <row r="25" spans="2:21" ht="4.1500000000000004" customHeight="1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  <c r="T25" s="64" t="s">
        <v>37</v>
      </c>
      <c r="U25" s="65"/>
    </row>
    <row r="26" spans="2:21" ht="27" customHeight="1" x14ac:dyDescent="0.25">
      <c r="B26" s="7"/>
      <c r="C26" s="8" t="s">
        <v>12</v>
      </c>
      <c r="D26" s="9"/>
      <c r="E26" s="11" t="s">
        <v>9</v>
      </c>
      <c r="F26" s="23" t="s">
        <v>10</v>
      </c>
      <c r="G26" s="23" t="s">
        <v>11</v>
      </c>
      <c r="H26" s="23" t="s">
        <v>13</v>
      </c>
      <c r="I26" s="23" t="s">
        <v>17</v>
      </c>
      <c r="J26" s="9"/>
      <c r="K26" s="9"/>
      <c r="L26" s="12"/>
      <c r="Q26" s="3" t="s">
        <v>29</v>
      </c>
      <c r="R26" s="3">
        <f>E27+E29+E30</f>
        <v>8</v>
      </c>
      <c r="S26" s="3">
        <f>F27+F29</f>
        <v>8</v>
      </c>
      <c r="T26" s="66"/>
      <c r="U26" s="67"/>
    </row>
    <row r="27" spans="2:21" ht="27" customHeight="1" x14ac:dyDescent="0.25">
      <c r="B27" s="7"/>
      <c r="C27" s="13" t="s">
        <v>1</v>
      </c>
      <c r="D27" s="11" t="s">
        <v>2</v>
      </c>
      <c r="E27" s="33">
        <v>5</v>
      </c>
      <c r="F27" s="23">
        <f>E22*6</f>
        <v>6</v>
      </c>
      <c r="G27" s="23">
        <f>IF(E27&lt;=F27,0,E27-F27)</f>
        <v>0</v>
      </c>
      <c r="H27" s="14">
        <v>0.25</v>
      </c>
      <c r="I27" s="22">
        <f>H27*G27*102</f>
        <v>0</v>
      </c>
      <c r="J27" s="9"/>
      <c r="K27" s="9"/>
      <c r="L27" s="12"/>
      <c r="Q27" s="3" t="s">
        <v>30</v>
      </c>
      <c r="R27" s="3">
        <f>E28</f>
        <v>3</v>
      </c>
      <c r="S27" s="3">
        <f>R27*S26/R26</f>
        <v>3</v>
      </c>
      <c r="T27" s="66"/>
      <c r="U27" s="67"/>
    </row>
    <row r="28" spans="2:21" ht="27" customHeight="1" x14ac:dyDescent="0.25">
      <c r="B28" s="7"/>
      <c r="C28" s="13" t="s">
        <v>3</v>
      </c>
      <c r="D28" s="11" t="s">
        <v>4</v>
      </c>
      <c r="E28" s="33">
        <v>3</v>
      </c>
      <c r="F28" s="23">
        <f>IF(IF(IF(E27&gt;F27,1,0)+IF(E29+E30&gt;F29,1,0)&gt;0,ROUND(E28*(F27+F29)/(E27+E29+E30),0),E28)&gt;E28,E28,IF(IF(E27&gt;F27,1,0)+IF(E29+E30&gt;F29,1,0)&gt;0,ROUND(E28*(F27+F29)/(E27+E29+E30),0),E28))</f>
        <v>3</v>
      </c>
      <c r="G28" s="23">
        <f>IF(E28&lt;=F28,0,E28-F28)</f>
        <v>0</v>
      </c>
      <c r="H28" s="14">
        <v>0.05</v>
      </c>
      <c r="I28" s="22">
        <f>H28*G28*102</f>
        <v>0</v>
      </c>
      <c r="J28" s="9"/>
      <c r="K28" s="9"/>
      <c r="L28" s="12"/>
      <c r="N28" s="3" t="s">
        <v>27</v>
      </c>
      <c r="T28" s="66"/>
      <c r="U28" s="67"/>
    </row>
    <row r="29" spans="2:21" ht="27" customHeight="1" x14ac:dyDescent="0.25">
      <c r="B29" s="7"/>
      <c r="C29" s="13" t="s">
        <v>8</v>
      </c>
      <c r="D29" s="11" t="s">
        <v>5</v>
      </c>
      <c r="E29" s="33">
        <v>2</v>
      </c>
      <c r="F29" s="63">
        <f>E22*2</f>
        <v>2</v>
      </c>
      <c r="G29" s="23">
        <f>P29</f>
        <v>1</v>
      </c>
      <c r="H29" s="14">
        <v>0.5</v>
      </c>
      <c r="I29" s="22">
        <f>H29*G29*102</f>
        <v>51</v>
      </c>
      <c r="J29" s="9"/>
      <c r="K29" s="9"/>
      <c r="L29" s="12"/>
      <c r="M29" s="3" t="str">
        <f>IF(E29+E30&gt;F29,"tem",0)</f>
        <v>tem</v>
      </c>
      <c r="N29" s="3">
        <f>IF(M29="tem",E29+E30-F29)</f>
        <v>1</v>
      </c>
      <c r="O29" s="24">
        <f>IF(M29="tem",E29/(E29+E30),1)</f>
        <v>0.66666666666666663</v>
      </c>
      <c r="P29" s="3">
        <f>ROUND(N29*O29,0)</f>
        <v>1</v>
      </c>
      <c r="T29" s="66"/>
      <c r="U29" s="67"/>
    </row>
    <row r="30" spans="2:21" ht="27" customHeight="1" x14ac:dyDescent="0.25">
      <c r="B30" s="7"/>
      <c r="C30" s="13" t="s">
        <v>7</v>
      </c>
      <c r="D30" s="11" t="s">
        <v>6</v>
      </c>
      <c r="E30" s="33">
        <v>1</v>
      </c>
      <c r="F30" s="63"/>
      <c r="G30" s="23">
        <f>P30</f>
        <v>0</v>
      </c>
      <c r="H30" s="14">
        <v>0.25</v>
      </c>
      <c r="I30" s="22">
        <f>H30*G30*102</f>
        <v>0</v>
      </c>
      <c r="J30" s="9"/>
      <c r="K30" s="25">
        <f>SUM(I27:I30)</f>
        <v>51</v>
      </c>
      <c r="L30" s="12"/>
      <c r="M30" s="3" t="str">
        <f>IF(E29+E30&gt;F29,"tem",0)</f>
        <v>tem</v>
      </c>
      <c r="N30" s="3">
        <f>IF(M29="tem",E29+E30-F29)</f>
        <v>1</v>
      </c>
      <c r="O30" s="24">
        <f>IF(M30="tem",E30/(E30+E29),1)</f>
        <v>0.33333333333333331</v>
      </c>
      <c r="P30" s="3">
        <f>ROUND(N30*O30,0)</f>
        <v>0</v>
      </c>
      <c r="T30" s="66"/>
      <c r="U30" s="67"/>
    </row>
    <row r="31" spans="2:21" ht="5.45" customHeight="1" thickBot="1" x14ac:dyDescent="0.3">
      <c r="B31" s="18"/>
      <c r="C31" s="26"/>
      <c r="D31" s="20"/>
      <c r="E31" s="1"/>
      <c r="F31" s="1"/>
      <c r="G31" s="1"/>
      <c r="H31" s="27"/>
      <c r="I31" s="28"/>
      <c r="J31" s="20"/>
      <c r="K31" s="28"/>
      <c r="L31" s="21"/>
      <c r="O31" s="24"/>
      <c r="T31" s="68"/>
      <c r="U31" s="69"/>
    </row>
    <row r="32" spans="2:21" ht="8.4499999999999993" customHeight="1" thickBot="1" x14ac:dyDescent="0.3">
      <c r="B32" s="9"/>
      <c r="C32" s="29"/>
      <c r="D32" s="9"/>
      <c r="E32" s="2"/>
      <c r="F32" s="2"/>
      <c r="G32" s="2"/>
      <c r="H32" s="30"/>
      <c r="I32" s="31"/>
      <c r="J32" s="9"/>
      <c r="K32" s="31"/>
      <c r="L32" s="9"/>
      <c r="O32" s="24"/>
    </row>
    <row r="33" spans="2:23" ht="10.9" customHeight="1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6"/>
      <c r="T33" s="64" t="s">
        <v>36</v>
      </c>
      <c r="U33" s="65"/>
    </row>
    <row r="34" spans="2:23" ht="27" customHeight="1" x14ac:dyDescent="0.25">
      <c r="B34" s="7"/>
      <c r="C34" s="8" t="s">
        <v>14</v>
      </c>
      <c r="D34" s="23" t="s">
        <v>18</v>
      </c>
      <c r="E34" s="11" t="s">
        <v>24</v>
      </c>
      <c r="F34" s="9"/>
      <c r="G34" s="9"/>
      <c r="H34" s="9"/>
      <c r="I34" s="23" t="s">
        <v>17</v>
      </c>
      <c r="J34" s="9"/>
      <c r="K34" s="9"/>
      <c r="L34" s="12"/>
      <c r="T34" s="66"/>
      <c r="U34" s="67"/>
    </row>
    <row r="35" spans="2:23" ht="27" customHeight="1" x14ac:dyDescent="0.25">
      <c r="B35" s="7"/>
      <c r="C35" s="13" t="s">
        <v>0</v>
      </c>
      <c r="D35" s="34">
        <v>1000</v>
      </c>
      <c r="E35" s="35" t="b">
        <v>0</v>
      </c>
      <c r="F35" s="39"/>
      <c r="G35" s="40"/>
      <c r="H35" s="41"/>
      <c r="I35" s="22">
        <f>IF(D35&gt;16320,(D35-16320)*4%+16320*10%,D35*10%)*IF(E35=FALSE,1,0.5)</f>
        <v>100</v>
      </c>
      <c r="J35" s="9"/>
      <c r="K35" s="9"/>
      <c r="L35" s="12"/>
      <c r="T35" s="66"/>
      <c r="U35" s="67"/>
    </row>
    <row r="36" spans="2:23" ht="27" customHeight="1" x14ac:dyDescent="0.25">
      <c r="B36" s="7"/>
      <c r="C36" s="13" t="s">
        <v>15</v>
      </c>
      <c r="D36" s="34"/>
      <c r="E36" s="35" t="b">
        <v>0</v>
      </c>
      <c r="F36" s="39"/>
      <c r="G36" s="40"/>
      <c r="H36" s="41"/>
      <c r="I36" s="22">
        <f>IF(D36&gt;16320,(D36-16320)*3%+16320*7.5%,D36*7.5%)*IF(E36=FALSE,1,0.5)</f>
        <v>0</v>
      </c>
      <c r="J36" s="9"/>
      <c r="K36" s="9"/>
      <c r="L36" s="12"/>
      <c r="T36" s="66"/>
      <c r="U36" s="67"/>
      <c r="W36" s="3" t="s">
        <v>39</v>
      </c>
    </row>
    <row r="37" spans="2:23" ht="27" customHeight="1" x14ac:dyDescent="0.25">
      <c r="B37" s="7"/>
      <c r="C37" s="13" t="s">
        <v>16</v>
      </c>
      <c r="D37" s="34">
        <v>0</v>
      </c>
      <c r="E37" s="35" t="b">
        <v>0</v>
      </c>
      <c r="F37" s="42"/>
      <c r="G37" s="43"/>
      <c r="H37" s="44"/>
      <c r="I37" s="22">
        <f>IF(D37&gt;16320,(D37-16320)*2%+16320*5%,D37*5%)*IF(E37=FALSE,1,0.5)</f>
        <v>0</v>
      </c>
      <c r="J37" s="9"/>
      <c r="K37" s="16">
        <f>SUM(I35:I37)</f>
        <v>100</v>
      </c>
      <c r="L37" s="12"/>
      <c r="T37" s="66"/>
      <c r="U37" s="67"/>
    </row>
    <row r="38" spans="2:23" ht="10.15" customHeight="1" thickBot="1" x14ac:dyDescent="0.3">
      <c r="B38" s="18"/>
      <c r="C38" s="20"/>
      <c r="D38" s="20"/>
      <c r="E38" s="20"/>
      <c r="F38" s="20"/>
      <c r="G38" s="20"/>
      <c r="H38" s="20"/>
      <c r="I38" s="20"/>
      <c r="J38" s="20"/>
      <c r="K38" s="20"/>
      <c r="L38" s="21"/>
      <c r="T38" s="68"/>
      <c r="U38" s="69"/>
    </row>
    <row r="39" spans="2:23" ht="8.4499999999999993" customHeight="1" thickBot="1" x14ac:dyDescent="0.3"/>
    <row r="40" spans="2:23" ht="5.45" customHeight="1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6"/>
      <c r="T40" s="54" t="s">
        <v>35</v>
      </c>
      <c r="U40" s="55"/>
    </row>
    <row r="41" spans="2:23" ht="31.15" customHeight="1" x14ac:dyDescent="0.25">
      <c r="B41" s="7"/>
      <c r="C41" s="8" t="s">
        <v>31</v>
      </c>
      <c r="D41" s="23" t="s">
        <v>33</v>
      </c>
      <c r="E41" s="23" t="s">
        <v>34</v>
      </c>
      <c r="F41" s="9"/>
      <c r="G41" s="9"/>
      <c r="H41" s="9"/>
      <c r="I41" s="9"/>
      <c r="J41" s="9"/>
      <c r="K41" s="9"/>
      <c r="L41" s="12"/>
      <c r="T41" s="56"/>
      <c r="U41" s="57"/>
    </row>
    <row r="42" spans="2:23" ht="26.45" customHeight="1" x14ac:dyDescent="0.25">
      <c r="B42" s="7"/>
      <c r="C42" s="9" t="s">
        <v>32</v>
      </c>
      <c r="D42" s="34">
        <v>0</v>
      </c>
      <c r="E42" s="36">
        <v>0.01</v>
      </c>
      <c r="F42" s="39"/>
      <c r="G42" s="40"/>
      <c r="H42" s="40"/>
      <c r="I42" s="40"/>
      <c r="J42" s="41"/>
      <c r="K42" s="16">
        <f>ROUND(D42*E42,2)</f>
        <v>0</v>
      </c>
      <c r="L42" s="12"/>
      <c r="T42" s="56"/>
      <c r="U42" s="57"/>
    </row>
    <row r="43" spans="2:23" ht="6" customHeight="1" thickBot="1" x14ac:dyDescent="0.3"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1"/>
      <c r="T43" s="58"/>
      <c r="U43" s="59"/>
    </row>
    <row r="44" spans="2:23" ht="10.15" customHeight="1" thickBot="1" x14ac:dyDescent="0.3"/>
    <row r="45" spans="2:23" ht="27" customHeight="1" thickBot="1" x14ac:dyDescent="0.3">
      <c r="H45" s="37"/>
      <c r="I45" s="38" t="s">
        <v>28</v>
      </c>
      <c r="K45" s="32">
        <f>SUM(K19:K43)</f>
        <v>406</v>
      </c>
    </row>
  </sheetData>
  <sheetProtection algorithmName="SHA-512" hashValue="bUYBrQfKfznJTD8SKrsl8TJGSIC3CcVxcIKtorxpdRNH22s9V0oeM/iksCrB6y0+74SLxDnqbBDaAk7Iqcw15w==" saltValue="A4XuUkCba0fVf544NymGxQ==" spinCount="100000" sheet="1" objects="1" scenarios="1" selectLockedCells="1"/>
  <mergeCells count="10">
    <mergeCell ref="T33:U38"/>
    <mergeCell ref="T40:U43"/>
    <mergeCell ref="F7:U7"/>
    <mergeCell ref="C1:U1"/>
    <mergeCell ref="C2:U2"/>
    <mergeCell ref="B4:U4"/>
    <mergeCell ref="T18:U23"/>
    <mergeCell ref="T25:U31"/>
    <mergeCell ref="F29:F30"/>
    <mergeCell ref="C3:U3"/>
  </mergeCells>
  <conditionalFormatting sqref="G27:G32">
    <cfRule type="cellIs" dxfId="0" priority="1" operator="greaterThan">
      <formula>0</formula>
    </cfRule>
  </conditionalFormatting>
  <pageMargins left="0.7" right="0.7" top="0.75" bottom="0.75" header="0.3" footer="0.3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34</xdr:row>
                    <xdr:rowOff>0</xdr:rowOff>
                  </from>
                  <to>
                    <xdr:col>4</xdr:col>
                    <xdr:colOff>533400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142875</xdr:colOff>
                    <xdr:row>34</xdr:row>
                    <xdr:rowOff>323850</xdr:rowOff>
                  </from>
                  <to>
                    <xdr:col>4</xdr:col>
                    <xdr:colOff>533400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36</xdr:row>
                    <xdr:rowOff>0</xdr:rowOff>
                  </from>
                  <to>
                    <xdr:col>4</xdr:col>
                    <xdr:colOff>533400</xdr:colOff>
                    <xdr:row>36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Simulador</vt:lpstr>
      <vt:lpstr>Citação previa</vt:lpstr>
      <vt:lpstr>'Citação previa'!Área_de_Impressão</vt:lpstr>
      <vt:lpstr>Simulador!Área_de_Impressão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Oliveira</dc:creator>
  <cp:lastModifiedBy>Armando Oliveira</cp:lastModifiedBy>
  <cp:lastPrinted>2013-07-10T19:45:27Z</cp:lastPrinted>
  <dcterms:created xsi:type="dcterms:W3CDTF">2013-07-10T17:01:48Z</dcterms:created>
  <dcterms:modified xsi:type="dcterms:W3CDTF">2013-09-09T23:14:15Z</dcterms:modified>
</cp:coreProperties>
</file>